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hibely\Dropbox\1. Courses\1. CE 45000 - Transport Policy and Planning\1. Lectures\Exams\Final Exam\"/>
    </mc:Choice>
  </mc:AlternateContent>
  <xr:revisionPtr revIDLastSave="0" documentId="13_ncr:1_{AE37976E-08AF-4262-8372-3AA9886587C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I7" i="4" l="1"/>
  <c r="J2" i="4" s="1"/>
  <c r="L2" i="4" l="1"/>
  <c r="M2" i="4"/>
  <c r="K2" i="4"/>
  <c r="J3" i="4"/>
  <c r="J4" i="4"/>
  <c r="J5" i="4"/>
  <c r="J6" i="4"/>
  <c r="M4" i="4" l="1"/>
  <c r="L4" i="4"/>
  <c r="K4" i="4"/>
  <c r="L6" i="4"/>
  <c r="M6" i="4"/>
  <c r="K6" i="4"/>
  <c r="L5" i="4"/>
  <c r="M5" i="4"/>
  <c r="K5" i="4"/>
  <c r="L3" i="4"/>
  <c r="M3" i="4"/>
  <c r="K3" i="4"/>
  <c r="H18" i="3"/>
  <c r="H17" i="3"/>
  <c r="B21" i="3" s="1"/>
  <c r="F2" i="2" l="1"/>
  <c r="D5" i="2"/>
  <c r="C3" i="2"/>
  <c r="C2" i="2"/>
  <c r="D8" i="1"/>
  <c r="D9" i="1"/>
  <c r="D7" i="1"/>
  <c r="C13" i="1"/>
  <c r="B13" i="1"/>
  <c r="C12" i="1"/>
  <c r="D12" i="1" s="1"/>
  <c r="B12" i="1"/>
  <c r="C11" i="1"/>
  <c r="B11" i="1"/>
  <c r="C10" i="1"/>
  <c r="D10" i="1" s="1"/>
  <c r="B10" i="1"/>
  <c r="D13" i="1" l="1"/>
  <c r="D11" i="1"/>
  <c r="K7" i="4"/>
  <c r="J7" i="4"/>
  <c r="M7" i="4" l="1"/>
  <c r="L7" i="4"/>
</calcChain>
</file>

<file path=xl/sharedStrings.xml><?xml version="1.0" encoding="utf-8"?>
<sst xmlns="http://schemas.openxmlformats.org/spreadsheetml/2006/main" count="37" uniqueCount="33">
  <si>
    <t>Selected Safety Countermeasure</t>
  </si>
  <si>
    <t>CMF</t>
  </si>
  <si>
    <t>Implementation Cost</t>
  </si>
  <si>
    <t>1. Portable rumble strips (PRS)</t>
  </si>
  <si>
    <t>2. Speed Feedback Display</t>
  </si>
  <si>
    <t>3. Automated Speed-Camera Enforcement</t>
  </si>
  <si>
    <t>1,2</t>
  </si>
  <si>
    <t>2,3</t>
  </si>
  <si>
    <t>1,3</t>
  </si>
  <si>
    <t>1,2,3</t>
  </si>
  <si>
    <t>Crash Severity Level</t>
  </si>
  <si>
    <t>Average Crash Cost1</t>
  </si>
  <si>
    <t>Fatal</t>
  </si>
  <si>
    <t>Injury</t>
  </si>
  <si>
    <t>Property damage only (PDO)</t>
  </si>
  <si>
    <t>Average</t>
  </si>
  <si>
    <t>IRI</t>
  </si>
  <si>
    <t>Rut</t>
  </si>
  <si>
    <t>PCI</t>
  </si>
  <si>
    <t>PSI</t>
  </si>
  <si>
    <t>No</t>
  </si>
  <si>
    <t>Criterion (MOE)</t>
  </si>
  <si>
    <t>Ranking</t>
  </si>
  <si>
    <t>Alt 1</t>
  </si>
  <si>
    <t>Alt 2</t>
  </si>
  <si>
    <t>Alt 3</t>
  </si>
  <si>
    <t>Daily ridership (1000s)</t>
  </si>
  <si>
    <t>Annual return on investment (%)</t>
  </si>
  <si>
    <t>Length of line (mi)</t>
  </si>
  <si>
    <t>Passengers seated in peak hour (%)</t>
  </si>
  <si>
    <t>Auto drivers diverted (1000s)</t>
  </si>
  <si>
    <t>Relative Weight</t>
  </si>
  <si>
    <t>Weighting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</si>
</sst>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"/>
  </numFmts>
  <fonts count="9">
    <font>
      <sz val="12"/>
      <color theme="1"/>
      <name val="Times New Roman"/>
      <family val="2"/>
    </font>
    <font>
      <b/>
      <sz val="11"/>
      <color theme="1"/>
      <name val="CMU Serif"/>
    </font>
    <font>
      <sz val="11"/>
      <color theme="1"/>
      <name val="CMU Serif"/>
    </font>
    <font>
      <b/>
      <sz val="11"/>
      <color rgb="FF000000"/>
      <name val="CMU Serif"/>
    </font>
    <font>
      <sz val="11"/>
      <color rgb="FF000000"/>
      <name val="CMU Serif"/>
    </font>
    <font>
      <b/>
      <sz val="12"/>
      <color rgb="FFF9F9F9"/>
      <name val="Times New Roman"/>
      <family val="1"/>
    </font>
    <font>
      <sz val="12"/>
      <color rgb="FF161108"/>
      <name val="Times New Roman"/>
      <family val="1"/>
    </font>
    <font>
      <b/>
      <sz val="12"/>
      <color rgb="FFF9F9F9"/>
      <name val="Open Sans"/>
    </font>
    <font>
      <sz val="12"/>
      <color rgb="FF161108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BC9850"/>
        <bgColor indexed="64"/>
      </patternFill>
    </fill>
    <fill>
      <patternFill patternType="solid">
        <fgColor rgb="FFE7DDD0"/>
        <bgColor indexed="64"/>
      </patternFill>
    </fill>
    <fill>
      <patternFill patternType="solid">
        <fgColor rgb="FFF4EFE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6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6" fontId="4" fillId="0" borderId="4" xfId="0" applyNumberFormat="1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2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readingOrder="1"/>
    </xf>
    <xf numFmtId="0" fontId="7" fillId="2" borderId="6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1" fontId="0" fillId="0" borderId="0" xfId="0" applyNumberFormat="1"/>
    <xf numFmtId="164" fontId="0" fillId="0" borderId="0" xfId="0" applyNumberFormat="1"/>
    <xf numFmtId="0" fontId="8" fillId="4" borderId="5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zoomScale="130" zoomScaleNormal="130" workbookViewId="0">
      <selection activeCell="A18" sqref="A18"/>
    </sheetView>
  </sheetViews>
  <sheetFormatPr defaultRowHeight="15.75"/>
  <cols>
    <col min="1" max="1" width="41.625" customWidth="1"/>
    <col min="3" max="3" width="30.875" customWidth="1"/>
  </cols>
  <sheetData>
    <row r="1" spans="1:4" ht="17.25" thickBot="1">
      <c r="A1" s="1" t="s">
        <v>0</v>
      </c>
      <c r="B1" s="2" t="s">
        <v>1</v>
      </c>
      <c r="C1" s="3" t="s">
        <v>2</v>
      </c>
    </row>
    <row r="2" spans="1:4" ht="17.25" thickBot="1">
      <c r="A2" s="4" t="s">
        <v>3</v>
      </c>
      <c r="B2" s="5">
        <v>0.89</v>
      </c>
      <c r="C2" s="6">
        <v>1000</v>
      </c>
    </row>
    <row r="3" spans="1:4" ht="17.25" thickBot="1">
      <c r="A3" s="4" t="s">
        <v>4</v>
      </c>
      <c r="B3" s="5">
        <v>0.86299999999999999</v>
      </c>
      <c r="C3" s="6">
        <v>9500</v>
      </c>
    </row>
    <row r="4" spans="1:4" ht="17.25" thickBot="1">
      <c r="A4" s="7" t="s">
        <v>5</v>
      </c>
      <c r="B4" s="5">
        <v>0.83</v>
      </c>
      <c r="C4" s="6">
        <v>145000</v>
      </c>
    </row>
    <row r="7" spans="1:4">
      <c r="A7">
        <v>1</v>
      </c>
      <c r="B7">
        <v>0.89</v>
      </c>
      <c r="C7">
        <v>5000</v>
      </c>
      <c r="D7">
        <f>(1-B7)/C7*10000</f>
        <v>0.21999999999999997</v>
      </c>
    </row>
    <row r="8" spans="1:4">
      <c r="A8">
        <v>2</v>
      </c>
      <c r="B8">
        <v>0.86299999999999999</v>
      </c>
      <c r="C8">
        <v>5600</v>
      </c>
      <c r="D8">
        <f t="shared" ref="D8:D13" si="0">(1-B8)/C8*10000</f>
        <v>0.24464285714285713</v>
      </c>
    </row>
    <row r="9" spans="1:4">
      <c r="A9">
        <v>3</v>
      </c>
      <c r="B9">
        <v>0.83</v>
      </c>
      <c r="C9">
        <v>10000</v>
      </c>
      <c r="D9">
        <f t="shared" si="0"/>
        <v>0.17000000000000004</v>
      </c>
    </row>
    <row r="10" spans="1:4">
      <c r="A10" t="s">
        <v>6</v>
      </c>
      <c r="B10">
        <f>B7*B8</f>
        <v>0.76807000000000003</v>
      </c>
      <c r="C10">
        <f>C7+C8</f>
        <v>10600</v>
      </c>
      <c r="D10">
        <f t="shared" si="0"/>
        <v>0.2188018867924528</v>
      </c>
    </row>
    <row r="11" spans="1:4">
      <c r="A11" t="s">
        <v>7</v>
      </c>
      <c r="B11">
        <f>B8*B9</f>
        <v>0.71628999999999998</v>
      </c>
      <c r="C11">
        <f>C8+C9</f>
        <v>15600</v>
      </c>
      <c r="D11">
        <f t="shared" si="0"/>
        <v>0.18186538461538462</v>
      </c>
    </row>
    <row r="12" spans="1:4">
      <c r="A12" t="s">
        <v>8</v>
      </c>
      <c r="B12">
        <f>B7*B9</f>
        <v>0.73870000000000002</v>
      </c>
      <c r="C12">
        <f>C7+C9</f>
        <v>15000</v>
      </c>
      <c r="D12">
        <f t="shared" si="0"/>
        <v>0.17419999999999999</v>
      </c>
    </row>
    <row r="13" spans="1:4">
      <c r="A13" t="s">
        <v>9</v>
      </c>
      <c r="B13">
        <f>B7*B8*B9</f>
        <v>0.63749809999999996</v>
      </c>
      <c r="C13">
        <f>C7+C8+C9</f>
        <v>20600</v>
      </c>
      <c r="D13">
        <f t="shared" si="0"/>
        <v>0.17597179611650487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G3" sqref="G3"/>
    </sheetView>
  </sheetViews>
  <sheetFormatPr defaultRowHeight="15.75"/>
  <cols>
    <col min="1" max="1" width="25.625" bestFit="1" customWidth="1"/>
    <col min="2" max="2" width="21.75" bestFit="1" customWidth="1"/>
  </cols>
  <sheetData>
    <row r="1" spans="1:7" ht="17.25" thickBot="1">
      <c r="A1" s="8" t="s">
        <v>10</v>
      </c>
      <c r="B1" s="9" t="s">
        <v>11</v>
      </c>
    </row>
    <row r="2" spans="1:7" ht="17.25" thickBot="1">
      <c r="A2" s="10" t="s">
        <v>12</v>
      </c>
      <c r="B2" s="11">
        <v>4509991</v>
      </c>
      <c r="C2">
        <f>B2/B4</f>
        <v>541.74066066066064</v>
      </c>
      <c r="D2">
        <v>0.02</v>
      </c>
      <c r="F2">
        <f>SUMPRODUCT(B2:B4,D2:D4)</f>
        <v>147043.57</v>
      </c>
      <c r="G2">
        <f>F2*10</f>
        <v>1470435.7000000002</v>
      </c>
    </row>
    <row r="3" spans="1:7" ht="17.25" thickBot="1">
      <c r="A3" s="10" t="s">
        <v>13</v>
      </c>
      <c r="B3" s="11">
        <v>220000</v>
      </c>
      <c r="C3">
        <f>B3/B4</f>
        <v>26.426426426426428</v>
      </c>
      <c r="D3">
        <v>0.23</v>
      </c>
    </row>
    <row r="4" spans="1:7" ht="17.25" thickBot="1">
      <c r="A4" s="10" t="s">
        <v>14</v>
      </c>
      <c r="B4" s="12">
        <v>8325</v>
      </c>
      <c r="C4">
        <v>1</v>
      </c>
      <c r="D4">
        <v>0.75</v>
      </c>
    </row>
    <row r="5" spans="1:7">
      <c r="D5">
        <f>SUM(D2:D4)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6:H21"/>
  <sheetViews>
    <sheetView workbookViewId="0">
      <selection activeCell="E34" sqref="E34"/>
    </sheetView>
  </sheetViews>
  <sheetFormatPr defaultRowHeight="15.75"/>
  <sheetData>
    <row r="16" spans="8:8">
      <c r="H16" t="s">
        <v>15</v>
      </c>
    </row>
    <row r="17" spans="1:8">
      <c r="A17" t="s">
        <v>16</v>
      </c>
      <c r="B17">
        <v>105</v>
      </c>
      <c r="C17">
        <v>99</v>
      </c>
      <c r="D17">
        <v>104</v>
      </c>
      <c r="E17">
        <v>86</v>
      </c>
      <c r="F17">
        <v>84</v>
      </c>
      <c r="G17">
        <v>86</v>
      </c>
      <c r="H17">
        <f>AVERAGE(B17:G17)</f>
        <v>94</v>
      </c>
    </row>
    <row r="18" spans="1:8">
      <c r="A18" t="s">
        <v>17</v>
      </c>
      <c r="B18">
        <v>0.12</v>
      </c>
      <c r="C18">
        <v>0.12</v>
      </c>
      <c r="D18">
        <v>0.12</v>
      </c>
      <c r="E18">
        <v>7.0000000000000007E-2</v>
      </c>
      <c r="F18">
        <v>7.0000000000000007E-2</v>
      </c>
      <c r="G18">
        <v>0.08</v>
      </c>
      <c r="H18" s="13">
        <f>AVERAGE(B18:G18)</f>
        <v>9.6666666666666665E-2</v>
      </c>
    </row>
    <row r="19" spans="1:8">
      <c r="A19" t="s">
        <v>18</v>
      </c>
      <c r="B19">
        <v>75</v>
      </c>
    </row>
    <row r="21" spans="1:8">
      <c r="A21" t="s">
        <v>19</v>
      </c>
      <c r="B21">
        <f>5.35*EXP(-0.0058*H17)-4*H18^2-3*(1-B19/100)</f>
        <v>2.314155394421161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tabSelected="1" topLeftCell="A4" workbookViewId="0">
      <selection activeCell="F26" sqref="F26"/>
    </sheetView>
  </sheetViews>
  <sheetFormatPr defaultRowHeight="15.75"/>
  <cols>
    <col min="2" max="2" width="28.375" bestFit="1" customWidth="1"/>
    <col min="9" max="9" width="16" bestFit="1" customWidth="1"/>
  </cols>
  <sheetData>
    <row r="1" spans="1:13" ht="16.5" thickBot="1">
      <c r="A1" s="14" t="s">
        <v>20</v>
      </c>
      <c r="B1" s="15" t="s">
        <v>21</v>
      </c>
      <c r="C1" s="16" t="s">
        <v>22</v>
      </c>
      <c r="D1" s="15" t="s">
        <v>23</v>
      </c>
      <c r="E1" s="15" t="s">
        <v>24</v>
      </c>
      <c r="F1" s="15" t="s">
        <v>25</v>
      </c>
      <c r="H1" s="25" t="s">
        <v>22</v>
      </c>
      <c r="I1" s="25" t="s">
        <v>31</v>
      </c>
      <c r="J1" s="25" t="s">
        <v>32</v>
      </c>
      <c r="K1" s="26" t="s">
        <v>23</v>
      </c>
      <c r="L1" s="26" t="s">
        <v>24</v>
      </c>
      <c r="M1" s="26" t="s">
        <v>25</v>
      </c>
    </row>
    <row r="2" spans="1:13" ht="16.5" thickBot="1">
      <c r="A2" s="17">
        <v>1</v>
      </c>
      <c r="B2" s="18" t="s">
        <v>26</v>
      </c>
      <c r="C2" s="19">
        <v>1</v>
      </c>
      <c r="D2" s="20">
        <v>25</v>
      </c>
      <c r="E2" s="20">
        <v>23</v>
      </c>
      <c r="F2" s="20">
        <v>20</v>
      </c>
      <c r="H2" s="27">
        <v>1</v>
      </c>
      <c r="I2">
        <v>5</v>
      </c>
      <c r="J2" s="28">
        <f t="shared" ref="J2:J6" si="0">I2/$I$7*100</f>
        <v>33.333333333333329</v>
      </c>
      <c r="K2">
        <f>D2/MAX($D2:$F2)*$J2</f>
        <v>33.333333333333329</v>
      </c>
      <c r="L2">
        <f t="shared" ref="L2" si="1">E2/MAX($D2:$F2)*$J2</f>
        <v>30.666666666666664</v>
      </c>
      <c r="M2">
        <f>F2/MAX($D2:$F2)*$J2</f>
        <v>26.666666666666664</v>
      </c>
    </row>
    <row r="3" spans="1:13" ht="16.5" thickBot="1">
      <c r="A3" s="21">
        <v>2</v>
      </c>
      <c r="B3" s="22" t="s">
        <v>27</v>
      </c>
      <c r="C3" s="23">
        <v>2</v>
      </c>
      <c r="D3" s="24">
        <v>13</v>
      </c>
      <c r="E3" s="24">
        <v>14</v>
      </c>
      <c r="F3" s="24">
        <v>11</v>
      </c>
      <c r="H3" s="30">
        <v>2</v>
      </c>
      <c r="I3" s="30">
        <v>4</v>
      </c>
      <c r="J3" s="28">
        <f t="shared" si="0"/>
        <v>26.666666666666668</v>
      </c>
      <c r="K3">
        <f t="shared" ref="K3:K6" si="2">D3/MAX($D3:$F3)*$J3</f>
        <v>24.761904761904763</v>
      </c>
      <c r="L3">
        <f t="shared" ref="L3:L6" si="3">E3/MAX($D3:$F3)*$J3</f>
        <v>26.666666666666668</v>
      </c>
      <c r="M3">
        <f>F3/MAX($D3:$F3)*$J3</f>
        <v>20.952380952380953</v>
      </c>
    </row>
    <row r="4" spans="1:13" ht="16.5" thickBot="1">
      <c r="A4" s="17">
        <v>3</v>
      </c>
      <c r="B4" s="18" t="s">
        <v>28</v>
      </c>
      <c r="C4" s="19">
        <v>4</v>
      </c>
      <c r="D4" s="20">
        <v>8</v>
      </c>
      <c r="E4" s="20">
        <v>7</v>
      </c>
      <c r="F4" s="20">
        <v>6</v>
      </c>
      <c r="H4" s="27">
        <v>4</v>
      </c>
      <c r="I4">
        <v>2</v>
      </c>
      <c r="J4" s="28">
        <f t="shared" si="0"/>
        <v>13.333333333333334</v>
      </c>
      <c r="K4">
        <f t="shared" si="2"/>
        <v>13.333333333333334</v>
      </c>
      <c r="L4">
        <f t="shared" si="3"/>
        <v>11.666666666666668</v>
      </c>
      <c r="M4">
        <f>F4/MAX($D4:$F4)*$J4</f>
        <v>10</v>
      </c>
    </row>
    <row r="5" spans="1:13" ht="16.5" thickBot="1">
      <c r="A5" s="21">
        <v>4</v>
      </c>
      <c r="B5" s="22" t="s">
        <v>29</v>
      </c>
      <c r="C5" s="23">
        <v>3</v>
      </c>
      <c r="D5" s="24">
        <v>25</v>
      </c>
      <c r="E5" s="24">
        <v>35</v>
      </c>
      <c r="F5" s="24">
        <v>40</v>
      </c>
      <c r="H5" s="30">
        <v>3</v>
      </c>
      <c r="I5">
        <v>3</v>
      </c>
      <c r="J5" s="28">
        <f t="shared" si="0"/>
        <v>20</v>
      </c>
      <c r="K5">
        <f t="shared" si="2"/>
        <v>12.5</v>
      </c>
      <c r="L5">
        <f t="shared" si="3"/>
        <v>17.5</v>
      </c>
      <c r="M5">
        <f t="shared" ref="M5:M6" si="4">F5/MAX($D5:$F5)*$J5</f>
        <v>20</v>
      </c>
    </row>
    <row r="6" spans="1:13" ht="16.5" thickBot="1">
      <c r="A6" s="17">
        <v>5</v>
      </c>
      <c r="B6" s="18" t="s">
        <v>30</v>
      </c>
      <c r="C6" s="19">
        <v>5</v>
      </c>
      <c r="D6" s="20">
        <v>3.5</v>
      </c>
      <c r="E6" s="20">
        <v>3</v>
      </c>
      <c r="F6" s="20">
        <v>2</v>
      </c>
      <c r="H6" s="27">
        <v>5</v>
      </c>
      <c r="I6">
        <v>1</v>
      </c>
      <c r="J6" s="28">
        <f t="shared" si="0"/>
        <v>6.666666666666667</v>
      </c>
      <c r="K6">
        <f t="shared" si="2"/>
        <v>6.666666666666667</v>
      </c>
      <c r="L6">
        <f t="shared" si="3"/>
        <v>5.7142857142857144</v>
      </c>
      <c r="M6">
        <f t="shared" si="4"/>
        <v>3.8095238095238093</v>
      </c>
    </row>
    <row r="7" spans="1:13">
      <c r="I7">
        <f t="shared" ref="I7:M7" si="5">SUM(I2:I6)</f>
        <v>15</v>
      </c>
      <c r="J7" s="28">
        <f>SUM(J2:J6)</f>
        <v>100</v>
      </c>
      <c r="K7">
        <f>SUM(K2:K6)</f>
        <v>90.595238095238088</v>
      </c>
      <c r="L7" s="29">
        <f t="shared" si="5"/>
        <v>92.214285714285708</v>
      </c>
      <c r="M7" s="29">
        <f t="shared" si="5"/>
        <v>81.428571428571431</v>
      </c>
    </row>
  </sheetData>
  <conditionalFormatting sqref="H7:M7 H2:J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{022C23A8-0D10-478C-A2FC-87F25236B4A0}</x14:id>
        </ext>
      </extLst>
    </cfRule>
  </conditionalFormatting>
  <conditionalFormatting sqref="K2:M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{53252B6A-7065-4FE3-82BB-FC05C9D480D3}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2C23A8-0D10-478C-A2FC-87F25236B4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H7:M7 H2:J6</xm:sqref>
        </x14:conditionalFormatting>
        <x14:conditionalFormatting xmlns:xm="http://schemas.microsoft.com/office/excel/2006/main">
          <x14:cfRule type="dataBar" id="{53252B6A-7065-4FE3-82BB-FC05C9D480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K2:M6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Shibely</cp:lastModifiedBy>
  <dcterms:created xsi:type="dcterms:W3CDTF">2019-12-12T20:06:55Z</dcterms:created>
  <dcterms:modified xsi:type="dcterms:W3CDTF">2019-12-21T16:02:29Z</dcterms:modified>
</cp:coreProperties>
</file>